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780" activeTab="0"/>
  </bookViews>
  <sheets>
    <sheet name="Live Calc" sheetId="1" r:id="rId1"/>
  </sheets>
  <definedNames>
    <definedName name="_xlnm.Print_Area" localSheetId="0">'Live Calc'!$A$1:$O$53</definedName>
  </definedNames>
  <calcPr fullCalcOnLoad="1"/>
</workbook>
</file>

<file path=xl/sharedStrings.xml><?xml version="1.0" encoding="utf-8"?>
<sst xmlns="http://schemas.openxmlformats.org/spreadsheetml/2006/main" count="101" uniqueCount="80">
  <si>
    <t>kg</t>
  </si>
  <si>
    <t>Payload</t>
  </si>
  <si>
    <t>S/C Subsystems</t>
  </si>
  <si>
    <t xml:space="preserve">   ADCS</t>
  </si>
  <si>
    <t xml:space="preserve">   C&amp;DH</t>
  </si>
  <si>
    <t xml:space="preserve">   Power</t>
  </si>
  <si>
    <t xml:space="preserve">   Propulsion</t>
  </si>
  <si>
    <t xml:space="preserve">   Structure</t>
  </si>
  <si>
    <t xml:space="preserve">   Thermal</t>
  </si>
  <si>
    <t xml:space="preserve">   TT&amp;C (Comm)</t>
  </si>
  <si>
    <t>Margin</t>
  </si>
  <si>
    <t>Mass (kg)</t>
  </si>
  <si>
    <t>Units</t>
  </si>
  <si>
    <t>Value</t>
  </si>
  <si>
    <t>Design Parameter</t>
  </si>
  <si>
    <t>Cost Component</t>
  </si>
  <si>
    <t>2nd Unit Cost (FY10$K)</t>
  </si>
  <si>
    <t>Spacecraft Bus Total Cost</t>
  </si>
  <si>
    <t>4. Program Level</t>
  </si>
  <si>
    <t>Total Space Segment Cost to Contractor</t>
  </si>
  <si>
    <t>10% Contractor Fee</t>
  </si>
  <si>
    <t>Total Space Segment Cost to Government</t>
  </si>
  <si>
    <t>Total Cost of Deployment</t>
  </si>
  <si>
    <t>FY10$K</t>
  </si>
  <si>
    <t>N/A</t>
  </si>
  <si>
    <t>Computation of Spacecraft computer source lines of code</t>
  </si>
  <si>
    <t>Kwords</t>
  </si>
  <si>
    <t>bits/Kwords</t>
  </si>
  <si>
    <t>Bytes/bit</t>
  </si>
  <si>
    <t>SLOC/Byte (C code)</t>
  </si>
  <si>
    <t>Source Lines of Code Converted from Kwords of Code:</t>
  </si>
  <si>
    <t>Learning Curve Slope S =</t>
  </si>
  <si>
    <t>B = 1 - (ln(1.0/S)/ln(2))</t>
  </si>
  <si>
    <t>Learning Curve Multiplication Factor, L</t>
  </si>
  <si>
    <t>Number of Units Manufactured, N</t>
  </si>
  <si>
    <t>Small Spacecraft Cost Model</t>
  </si>
  <si>
    <t>RDT&amp;E plus 1st Unit Cost (FY10$K)</t>
  </si>
  <si>
    <t>.</t>
  </si>
  <si>
    <t>Std Error ($K)</t>
  </si>
  <si>
    <t>2 Minotaur Launches</t>
  </si>
  <si>
    <t>CER Input Parameter</t>
  </si>
  <si>
    <t>User Inputs in Orange</t>
  </si>
  <si>
    <t>Implemented by John Collins, and Anthony Shao, Microcosm. Contact: bookproject@smad.com</t>
  </si>
  <si>
    <t>Percentage of Dry Mass</t>
  </si>
  <si>
    <t>Average Power (W)</t>
  </si>
  <si>
    <t>Spacecraft Dry Mass</t>
  </si>
  <si>
    <t>Spacecraft Power Margin</t>
  </si>
  <si>
    <t>Learning Curve</t>
  </si>
  <si>
    <t>Total Cost</t>
  </si>
  <si>
    <t>2010 (FY10$K)</t>
  </si>
  <si>
    <t>Inflation Factors Relative to the Year 2010</t>
  </si>
  <si>
    <t>Fiscal Year</t>
  </si>
  <si>
    <t>Table 11-35. FireSat II Space, Ground, and Launch Segment Costs in FY10$K</t>
  </si>
  <si>
    <t xml:space="preserve">  1.1.1 Structure*</t>
  </si>
  <si>
    <t>1.1 Spacecraft Bus</t>
  </si>
  <si>
    <t xml:space="preserve">  1.1.2 Thermal*</t>
  </si>
  <si>
    <t xml:space="preserve">  1.1.3 ADCS*</t>
  </si>
  <si>
    <t xml:space="preserve">  1.1.4 Electrical Power System*</t>
  </si>
  <si>
    <t xml:space="preserve">  1.1.5 Propulsion*</t>
  </si>
  <si>
    <t xml:space="preserve">  1.1.6a TT&amp;C*</t>
  </si>
  <si>
    <t xml:space="preserve">  1.1.6b Command &amp; Data Handling</t>
  </si>
  <si>
    <t xml:space="preserve">  1.1.7 Integration, Assembly, &amp; Test (IA&amp;T)</t>
  </si>
  <si>
    <t xml:space="preserve">  1.1.9 Flight Software†</t>
  </si>
  <si>
    <t>1.2 Payload</t>
  </si>
  <si>
    <t xml:space="preserve">  1.2.2 IR Sensor</t>
  </si>
  <si>
    <t>2. Launch Segment</t>
  </si>
  <si>
    <t>5. Launch and Orbital Ops Support (LOOS)</t>
  </si>
  <si>
    <t>6. Ground Support Equipment (GSE)</t>
  </si>
  <si>
    <t>Mass</t>
  </si>
  <si>
    <t>Spacecraft Bus Dry Mass</t>
  </si>
  <si>
    <t>Source Lines of Code</t>
  </si>
  <si>
    <t>*Spacecraft bus subsystem masses shown include a fraction of the spacecraft mass margin</t>
  </si>
  <si>
    <t>Std Error Percentage**</t>
  </si>
  <si>
    <t>**Original Values are based on rough estimates</t>
  </si>
  <si>
    <t>SEE (FY$2010)</t>
  </si>
  <si>
    <t>See text for discussion.</t>
  </si>
  <si>
    <t>Inflation Factor*</t>
  </si>
  <si>
    <t>* Beyond 2012, the rates shown are based on an extrapolated constant rate of inflation. New projections are available annually.</t>
  </si>
  <si>
    <t>†Software cost CER (1.1.9) taken from Table 11-20, unmanned flight CER.</t>
  </si>
  <si>
    <t>Version 1. August 8, 2011. copyright, 2011, Microcosm, Inc.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</si>
</sst>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"/>
    <numFmt numFmtId="167" formatCode="0.00000"/>
    <numFmt numFmtId="168" formatCode="&quot;$&quot;#,##0"/>
  </numFmts>
  <fonts count="25"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>
      <alignment/>
      <protection/>
    </xf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5" fillId="0" borderId="11" xfId="0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57" applyNumberFormat="1" applyFont="1" applyFill="1" applyBorder="1" applyAlignment="1">
      <alignment/>
    </xf>
    <xf numFmtId="0" fontId="5" fillId="15" borderId="10" xfId="0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2" fillId="4" borderId="12" xfId="0" applyFont="1" applyFill="1" applyBorder="1" applyAlignment="1">
      <alignment horizontal="center"/>
    </xf>
    <xf numFmtId="166" fontId="2" fillId="4" borderId="13" xfId="0" applyNumberFormat="1" applyFont="1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0" fillId="20" borderId="16" xfId="0" applyFill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20" borderId="12" xfId="0" applyFill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4" fontId="5" fillId="15" borderId="11" xfId="0" applyNumberFormat="1" applyFont="1" applyFill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5" fontId="5" fillId="0" borderId="10" xfId="57" applyNumberFormat="1" applyFont="1" applyFill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4" borderId="16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8" fillId="0" borderId="0" xfId="0" applyFont="1" applyAlignment="1">
      <alignment/>
    </xf>
    <xf numFmtId="4" fontId="5" fillId="15" borderId="12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/>
    </xf>
    <xf numFmtId="168" fontId="5" fillId="0" borderId="11" xfId="0" applyNumberFormat="1" applyFont="1" applyBorder="1" applyAlignment="1">
      <alignment/>
    </xf>
    <xf numFmtId="168" fontId="5" fillId="15" borderId="11" xfId="0" applyNumberFormat="1" applyFont="1" applyFill="1" applyBorder="1" applyAlignment="1">
      <alignment/>
    </xf>
    <xf numFmtId="168" fontId="5" fillId="0" borderId="11" xfId="0" applyNumberFormat="1" applyFont="1" applyFill="1" applyBorder="1" applyAlignment="1">
      <alignment/>
    </xf>
    <xf numFmtId="168" fontId="5" fillId="0" borderId="10" xfId="0" applyNumberFormat="1" applyFont="1" applyBorder="1" applyAlignment="1">
      <alignment/>
    </xf>
    <xf numFmtId="168" fontId="5" fillId="0" borderId="10" xfId="0" applyNumberFormat="1" applyFont="1" applyFill="1" applyBorder="1" applyAlignment="1">
      <alignment/>
    </xf>
    <xf numFmtId="168" fontId="5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168" fontId="5" fillId="0" borderId="18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6" fillId="4" borderId="19" xfId="0" applyFont="1" applyFill="1" applyBorder="1" applyAlignment="1">
      <alignment horizontal="center" vertical="center"/>
    </xf>
    <xf numFmtId="168" fontId="5" fillId="0" borderId="20" xfId="0" applyNumberFormat="1" applyFont="1" applyFill="1" applyBorder="1" applyAlignment="1">
      <alignment/>
    </xf>
    <xf numFmtId="168" fontId="5" fillId="0" borderId="20" xfId="0" applyNumberFormat="1" applyFont="1" applyBorder="1" applyAlignment="1">
      <alignment/>
    </xf>
    <xf numFmtId="168" fontId="5" fillId="15" borderId="20" xfId="0" applyNumberFormat="1" applyFont="1" applyFill="1" applyBorder="1" applyAlignment="1">
      <alignment/>
    </xf>
    <xf numFmtId="168" fontId="5" fillId="0" borderId="21" xfId="0" applyNumberFormat="1" applyFont="1" applyBorder="1" applyAlignment="1">
      <alignment/>
    </xf>
    <xf numFmtId="168" fontId="5" fillId="0" borderId="16" xfId="0" applyNumberFormat="1" applyFont="1" applyBorder="1" applyAlignment="1">
      <alignment/>
    </xf>
    <xf numFmtId="168" fontId="5" fillId="0" borderId="16" xfId="0" applyNumberFormat="1" applyFont="1" applyFill="1" applyBorder="1" applyAlignment="1">
      <alignment/>
    </xf>
    <xf numFmtId="168" fontId="5" fillId="0" borderId="22" xfId="0" applyNumberFormat="1" applyFont="1" applyBorder="1" applyAlignment="1">
      <alignment/>
    </xf>
    <xf numFmtId="168" fontId="5" fillId="0" borderId="23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4" borderId="26" xfId="0" applyFont="1" applyFill="1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5" fillId="15" borderId="15" xfId="0" applyFont="1" applyFill="1" applyBorder="1" applyAlignment="1">
      <alignment/>
    </xf>
    <xf numFmtId="0" fontId="6" fillId="4" borderId="14" xfId="0" applyFont="1" applyFill="1" applyBorder="1" applyAlignment="1">
      <alignment/>
    </xf>
    <xf numFmtId="164" fontId="5" fillId="15" borderId="24" xfId="0" applyNumberFormat="1" applyFont="1" applyFill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0" fontId="6" fillId="4" borderId="27" xfId="0" applyFont="1" applyFill="1" applyBorder="1" applyAlignment="1">
      <alignment vertic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9" fontId="5" fillId="15" borderId="29" xfId="57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 vertical="center" wrapText="1"/>
    </xf>
    <xf numFmtId="3" fontId="5" fillId="0" borderId="22" xfId="0" applyNumberFormat="1" applyFont="1" applyBorder="1" applyAlignment="1">
      <alignment/>
    </xf>
    <xf numFmtId="168" fontId="5" fillId="0" borderId="23" xfId="0" applyNumberFormat="1" applyFont="1" applyFill="1" applyBorder="1" applyAlignment="1">
      <alignment/>
    </xf>
    <xf numFmtId="0" fontId="5" fillId="0" borderId="23" xfId="0" applyFont="1" applyBorder="1" applyAlignment="1">
      <alignment/>
    </xf>
    <xf numFmtId="3" fontId="6" fillId="0" borderId="31" xfId="0" applyNumberFormat="1" applyFont="1" applyFill="1" applyBorder="1" applyAlignment="1">
      <alignment/>
    </xf>
    <xf numFmtId="168" fontId="6" fillId="0" borderId="28" xfId="0" applyNumberFormat="1" applyFont="1" applyFill="1" applyBorder="1" applyAlignment="1">
      <alignment/>
    </xf>
    <xf numFmtId="168" fontId="6" fillId="0" borderId="27" xfId="0" applyNumberFormat="1" applyFont="1" applyFill="1" applyBorder="1" applyAlignment="1">
      <alignment/>
    </xf>
    <xf numFmtId="168" fontId="6" fillId="0" borderId="28" xfId="0" applyNumberFormat="1" applyFont="1" applyBorder="1" applyAlignment="1">
      <alignment/>
    </xf>
    <xf numFmtId="3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7" fontId="4" fillId="0" borderId="17" xfId="0" applyNumberFormat="1" applyFont="1" applyBorder="1" applyAlignment="1">
      <alignment horizontal="center"/>
    </xf>
    <xf numFmtId="0" fontId="2" fillId="4" borderId="32" xfId="0" applyFont="1" applyFill="1" applyBorder="1" applyAlignment="1">
      <alignment horizontal="center" wrapText="1"/>
    </xf>
    <xf numFmtId="0" fontId="2" fillId="4" borderId="33" xfId="0" applyFont="1" applyFill="1" applyBorder="1" applyAlignment="1">
      <alignment horizontal="center" wrapText="1"/>
    </xf>
    <xf numFmtId="2" fontId="2" fillId="15" borderId="31" xfId="61" applyNumberFormat="1" applyFont="1" applyFill="1" applyBorder="1" applyAlignment="1">
      <alignment horizontal="center" vertical="center"/>
      <protection/>
    </xf>
    <xf numFmtId="2" fontId="2" fillId="15" borderId="34" xfId="61" applyNumberFormat="1" applyFont="1" applyFill="1" applyBorder="1" applyAlignment="1">
      <alignment horizontal="center" vertical="center"/>
      <protection/>
    </xf>
    <xf numFmtId="0" fontId="6" fillId="4" borderId="27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4" borderId="16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left"/>
    </xf>
    <xf numFmtId="0" fontId="6" fillId="4" borderId="35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4" borderId="3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5" fillId="20" borderId="16" xfId="0" applyFont="1" applyFill="1" applyBorder="1" applyAlignment="1">
      <alignment horizontal="left"/>
    </xf>
    <xf numFmtId="0" fontId="5" fillId="20" borderId="11" xfId="0" applyFont="1" applyFill="1" applyBorder="1" applyAlignment="1">
      <alignment horizontal="left"/>
    </xf>
    <xf numFmtId="0" fontId="6" fillId="4" borderId="43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center"/>
    </xf>
    <xf numFmtId="3" fontId="5" fillId="0" borderId="49" xfId="0" applyNumberFormat="1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6" fillId="4" borderId="27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left"/>
    </xf>
    <xf numFmtId="0" fontId="6" fillId="4" borderId="24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 wrapText="1"/>
    </xf>
    <xf numFmtId="0" fontId="6" fillId="4" borderId="53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6" fillId="4" borderId="54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6" fillId="4" borderId="55" xfId="0" applyFont="1" applyFill="1" applyBorder="1" applyAlignment="1">
      <alignment horizontal="center" vertical="center" wrapText="1"/>
    </xf>
    <xf numFmtId="0" fontId="6" fillId="4" borderId="56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6" fillId="20" borderId="14" xfId="0" applyFont="1" applyFill="1" applyBorder="1" applyAlignment="1">
      <alignment horizontal="left"/>
    </xf>
    <xf numFmtId="0" fontId="6" fillId="20" borderId="24" xfId="0" applyFont="1" applyFill="1" applyBorder="1" applyAlignment="1">
      <alignment horizontal="left"/>
    </xf>
    <xf numFmtId="9" fontId="5" fillId="15" borderId="50" xfId="0" applyNumberFormat="1" applyFont="1" applyFill="1" applyBorder="1" applyAlignment="1">
      <alignment horizontal="center"/>
    </xf>
    <xf numFmtId="9" fontId="5" fillId="15" borderId="51" xfId="0" applyNumberFormat="1" applyFont="1" applyFill="1" applyBorder="1" applyAlignment="1">
      <alignment horizontal="center"/>
    </xf>
    <xf numFmtId="0" fontId="6" fillId="20" borderId="16" xfId="0" applyFont="1" applyFill="1" applyBorder="1" applyAlignment="1">
      <alignment horizontal="left"/>
    </xf>
    <xf numFmtId="0" fontId="6" fillId="20" borderId="11" xfId="0" applyFont="1" applyFill="1" applyBorder="1" applyAlignment="1">
      <alignment horizontal="left"/>
    </xf>
    <xf numFmtId="9" fontId="5" fillId="24" borderId="42" xfId="57" applyFont="1" applyFill="1" applyBorder="1" applyAlignment="1">
      <alignment horizontal="center"/>
    </xf>
    <xf numFmtId="9" fontId="5" fillId="24" borderId="34" xfId="57" applyFont="1" applyFill="1" applyBorder="1" applyAlignment="1">
      <alignment horizontal="center"/>
    </xf>
    <xf numFmtId="0" fontId="5" fillId="24" borderId="59" xfId="0" applyFont="1" applyFill="1" applyBorder="1" applyAlignment="1">
      <alignment horizontal="center"/>
    </xf>
    <xf numFmtId="0" fontId="5" fillId="24" borderId="42" xfId="0" applyFont="1" applyFill="1" applyBorder="1" applyAlignment="1">
      <alignment horizontal="center"/>
    </xf>
    <xf numFmtId="0" fontId="6" fillId="20" borderId="31" xfId="0" applyFont="1" applyFill="1" applyBorder="1" applyAlignment="1">
      <alignment horizontal="left" vertical="center"/>
    </xf>
    <xf numFmtId="0" fontId="6" fillId="20" borderId="60" xfId="0" applyFont="1" applyFill="1" applyBorder="1" applyAlignment="1">
      <alignment horizontal="left" vertical="center"/>
    </xf>
    <xf numFmtId="0" fontId="6" fillId="20" borderId="22" xfId="0" applyFont="1" applyFill="1" applyBorder="1" applyAlignment="1">
      <alignment horizontal="left"/>
    </xf>
    <xf numFmtId="0" fontId="6" fillId="20" borderId="18" xfId="0" applyFont="1" applyFill="1" applyBorder="1" applyAlignment="1">
      <alignment horizontal="left"/>
    </xf>
    <xf numFmtId="0" fontId="5" fillId="0" borderId="18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표준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view="pageBreakPreview" zoomScale="55" zoomScaleSheetLayoutView="55" zoomScalePageLayoutView="0" workbookViewId="0" topLeftCell="A1">
      <selection activeCell="A1" sqref="A1"/>
    </sheetView>
  </sheetViews>
  <sheetFormatPr defaultColWidth="9.140625" defaultRowHeight="15"/>
  <cols>
    <col min="1" max="1" width="20.140625" style="3" customWidth="1"/>
    <col min="2" max="2" width="18.8515625" style="3" customWidth="1"/>
    <col min="3" max="3" width="11.28125" style="3" customWidth="1"/>
    <col min="4" max="4" width="11.421875" style="3" customWidth="1"/>
    <col min="5" max="5" width="8.421875" style="3" customWidth="1"/>
    <col min="6" max="6" width="12.00390625" style="3" customWidth="1"/>
    <col min="7" max="7" width="12.421875" style="3" customWidth="1"/>
    <col min="8" max="8" width="9.7109375" style="3" customWidth="1"/>
    <col min="9" max="9" width="10.28125" style="3" customWidth="1"/>
    <col min="10" max="10" width="9.8515625" style="3" customWidth="1"/>
    <col min="11" max="11" width="8.7109375" style="3" customWidth="1"/>
    <col min="12" max="12" width="7.8515625" style="3" customWidth="1"/>
    <col min="13" max="13" width="7.28125" style="3" customWidth="1"/>
    <col min="14" max="14" width="7.00390625" style="3" customWidth="1"/>
    <col min="15" max="15" width="9.7109375" style="3" customWidth="1"/>
    <col min="16" max="16" width="12.421875" style="3" customWidth="1"/>
    <col min="17" max="17" width="9.140625" style="3" customWidth="1"/>
    <col min="18" max="18" width="9.28125" style="3" customWidth="1"/>
    <col min="19" max="19" width="8.8515625" style="3" customWidth="1"/>
    <col min="20" max="20" width="9.421875" style="3" customWidth="1"/>
    <col min="21" max="21" width="12.421875" style="3" customWidth="1"/>
    <col min="22" max="16384" width="9.140625" style="3" customWidth="1"/>
  </cols>
  <sheetData>
    <row r="1" spans="1:10" ht="12.75">
      <c r="A1" s="1" t="s">
        <v>52</v>
      </c>
      <c r="H1" s="11"/>
      <c r="I1" s="12"/>
      <c r="J1" s="12"/>
    </row>
    <row r="2" ht="12.75">
      <c r="A2" s="3" t="s">
        <v>42</v>
      </c>
    </row>
    <row r="3" ht="12.75">
      <c r="A3" s="3" t="s">
        <v>79</v>
      </c>
    </row>
    <row r="4" ht="12.75">
      <c r="A4" s="2" t="s">
        <v>75</v>
      </c>
    </row>
    <row r="5" ht="13.5" thickBot="1"/>
    <row r="6" spans="1:3" ht="15.75" customHeight="1" thickBot="1">
      <c r="A6" s="85" t="s">
        <v>41</v>
      </c>
      <c r="B6" s="86"/>
      <c r="C6" s="31"/>
    </row>
    <row r="7" ht="13.5" thickBot="1"/>
    <row r="8" spans="1:12" ht="15" customHeight="1" thickBot="1">
      <c r="A8" s="87" t="s">
        <v>25</v>
      </c>
      <c r="B8" s="88"/>
      <c r="C8" s="88"/>
      <c r="D8" s="88"/>
      <c r="E8" s="88"/>
      <c r="F8" s="89"/>
      <c r="H8" s="104" t="s">
        <v>47</v>
      </c>
      <c r="I8" s="105"/>
      <c r="J8" s="105"/>
      <c r="K8" s="105"/>
      <c r="L8" s="106"/>
    </row>
    <row r="9" spans="1:12" ht="13.5" customHeight="1">
      <c r="A9" s="128" t="s">
        <v>26</v>
      </c>
      <c r="B9" s="130" t="s">
        <v>27</v>
      </c>
      <c r="C9" s="130" t="s">
        <v>28</v>
      </c>
      <c r="D9" s="115" t="s">
        <v>29</v>
      </c>
      <c r="E9" s="115" t="s">
        <v>30</v>
      </c>
      <c r="F9" s="116"/>
      <c r="H9" s="126" t="s">
        <v>34</v>
      </c>
      <c r="I9" s="127"/>
      <c r="J9" s="127"/>
      <c r="K9" s="127"/>
      <c r="L9" s="64">
        <v>2</v>
      </c>
    </row>
    <row r="10" spans="1:12" ht="13.5" customHeight="1">
      <c r="A10" s="129"/>
      <c r="B10" s="131"/>
      <c r="C10" s="131"/>
      <c r="D10" s="117"/>
      <c r="E10" s="117"/>
      <c r="F10" s="118"/>
      <c r="H10" s="93" t="s">
        <v>31</v>
      </c>
      <c r="I10" s="94"/>
      <c r="J10" s="94"/>
      <c r="K10" s="94"/>
      <c r="L10" s="13">
        <v>0.95</v>
      </c>
    </row>
    <row r="11" spans="1:12" ht="13.5" customHeight="1">
      <c r="A11" s="129"/>
      <c r="B11" s="131"/>
      <c r="C11" s="131"/>
      <c r="D11" s="117"/>
      <c r="E11" s="117"/>
      <c r="F11" s="118"/>
      <c r="H11" s="93" t="s">
        <v>32</v>
      </c>
      <c r="I11" s="94"/>
      <c r="J11" s="94"/>
      <c r="K11" s="94"/>
      <c r="L11" s="4">
        <f>1-(LN(1/L10)/LN(2))</f>
        <v>0.9259994185562233</v>
      </c>
    </row>
    <row r="12" spans="1:12" ht="15.75" customHeight="1" thickBot="1">
      <c r="A12" s="32">
        <v>781.35</v>
      </c>
      <c r="B12" s="80">
        <f>32768/2</f>
        <v>16384</v>
      </c>
      <c r="C12" s="81">
        <f>1/8</f>
        <v>0.125</v>
      </c>
      <c r="D12" s="82">
        <f>1/42</f>
        <v>0.023809523809523808</v>
      </c>
      <c r="E12" s="119">
        <f>A12*B12*C12*D12</f>
        <v>38100.114285714284</v>
      </c>
      <c r="F12" s="120"/>
      <c r="H12" s="90" t="s">
        <v>33</v>
      </c>
      <c r="I12" s="91"/>
      <c r="J12" s="91"/>
      <c r="K12" s="91"/>
      <c r="L12" s="33">
        <f>L9^L11</f>
        <v>1.9000000000000001</v>
      </c>
    </row>
    <row r="13" ht="13.5" thickBot="1"/>
    <row r="14" spans="1:6" ht="40.5" customHeight="1" thickBot="1">
      <c r="A14" s="68" t="s">
        <v>14</v>
      </c>
      <c r="B14" s="45" t="s">
        <v>11</v>
      </c>
      <c r="C14" s="69" t="s">
        <v>44</v>
      </c>
      <c r="D14" s="70" t="s">
        <v>43</v>
      </c>
      <c r="E14" s="44"/>
      <c r="F14" s="72" t="s">
        <v>46</v>
      </c>
    </row>
    <row r="15" spans="1:6" ht="27.75" customHeight="1" thickBot="1">
      <c r="A15" s="65" t="s">
        <v>1</v>
      </c>
      <c r="B15" s="66">
        <v>26</v>
      </c>
      <c r="C15" s="66">
        <v>65</v>
      </c>
      <c r="D15" s="67">
        <f>B15/(B15+B16)</f>
        <v>0.3023255813953488</v>
      </c>
      <c r="F15" s="71">
        <v>0.3</v>
      </c>
    </row>
    <row r="16" spans="1:4" ht="16.5" customHeight="1">
      <c r="A16" s="29" t="s">
        <v>2</v>
      </c>
      <c r="B16" s="24">
        <f>SUM(B17:B23)</f>
        <v>60</v>
      </c>
      <c r="C16" s="24">
        <f>SUM(C17:C23)</f>
        <v>76</v>
      </c>
      <c r="D16" s="25">
        <f>SUM(D17:D23)</f>
        <v>0.6976744186046512</v>
      </c>
    </row>
    <row r="17" spans="1:4" ht="12.75">
      <c r="A17" s="28" t="s">
        <v>3</v>
      </c>
      <c r="B17" s="23">
        <v>6</v>
      </c>
      <c r="C17" s="23">
        <v>14</v>
      </c>
      <c r="D17" s="25">
        <f aca="true" t="shared" si="0" ref="D17:D23">B17/($B$15+$B$16)</f>
        <v>0.06976744186046512</v>
      </c>
    </row>
    <row r="18" spans="1:4" ht="12.75">
      <c r="A18" s="28" t="s">
        <v>4</v>
      </c>
      <c r="B18" s="23">
        <v>4</v>
      </c>
      <c r="C18" s="23">
        <v>17</v>
      </c>
      <c r="D18" s="25">
        <f t="shared" si="0"/>
        <v>0.046511627906976744</v>
      </c>
    </row>
    <row r="19" spans="1:4" ht="12.75">
      <c r="A19" s="28" t="s">
        <v>5</v>
      </c>
      <c r="B19" s="23">
        <v>18</v>
      </c>
      <c r="C19" s="23">
        <v>13</v>
      </c>
      <c r="D19" s="25">
        <f t="shared" si="0"/>
        <v>0.20930232558139536</v>
      </c>
    </row>
    <row r="20" spans="1:4" ht="12.75">
      <c r="A20" s="28" t="s">
        <v>6</v>
      </c>
      <c r="B20" s="23">
        <v>4</v>
      </c>
      <c r="C20" s="23">
        <v>0</v>
      </c>
      <c r="D20" s="25">
        <f t="shared" si="0"/>
        <v>0.046511627906976744</v>
      </c>
    </row>
    <row r="21" spans="1:4" ht="12.75">
      <c r="A21" s="28" t="s">
        <v>7</v>
      </c>
      <c r="B21" s="23">
        <v>23</v>
      </c>
      <c r="C21" s="23">
        <v>1</v>
      </c>
      <c r="D21" s="25">
        <f t="shared" si="0"/>
        <v>0.26744186046511625</v>
      </c>
    </row>
    <row r="22" spans="1:10" ht="12.75">
      <c r="A22" s="28" t="s">
        <v>8</v>
      </c>
      <c r="B22" s="23">
        <v>2</v>
      </c>
      <c r="C22" s="23">
        <v>14</v>
      </c>
      <c r="D22" s="25">
        <f t="shared" si="0"/>
        <v>0.023255813953488372</v>
      </c>
      <c r="J22" s="5"/>
    </row>
    <row r="23" spans="1:4" ht="12.75">
      <c r="A23" s="28" t="s">
        <v>9</v>
      </c>
      <c r="B23" s="23">
        <v>3</v>
      </c>
      <c r="C23" s="23">
        <v>17</v>
      </c>
      <c r="D23" s="25">
        <f t="shared" si="0"/>
        <v>0.03488372093023256</v>
      </c>
    </row>
    <row r="24" spans="1:10" ht="12.75">
      <c r="A24" s="28" t="s">
        <v>10</v>
      </c>
      <c r="B24" s="23">
        <v>14</v>
      </c>
      <c r="C24" s="24">
        <f>F15*SUM(C15:C16)</f>
        <v>42.3</v>
      </c>
      <c r="D24" s="25"/>
      <c r="J24" s="5"/>
    </row>
    <row r="25" spans="1:4" ht="13.5" thickBot="1">
      <c r="A25" s="30" t="s">
        <v>45</v>
      </c>
      <c r="B25" s="26">
        <f>B15+B16+B24</f>
        <v>100</v>
      </c>
      <c r="C25" s="26">
        <f>C15+C16+C24</f>
        <v>183.3</v>
      </c>
      <c r="D25" s="27"/>
    </row>
    <row r="26" ht="13.5" thickBot="1">
      <c r="A26" s="10"/>
    </row>
    <row r="27" spans="1:15" ht="13.5" thickBot="1">
      <c r="A27" s="123" t="s">
        <v>35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5"/>
    </row>
    <row r="28" spans="1:15" ht="14.25" customHeight="1">
      <c r="A28" s="111" t="s">
        <v>15</v>
      </c>
      <c r="B28" s="112"/>
      <c r="C28" s="138" t="s">
        <v>40</v>
      </c>
      <c r="D28" s="135"/>
      <c r="E28" s="97" t="s">
        <v>13</v>
      </c>
      <c r="F28" s="97" t="s">
        <v>12</v>
      </c>
      <c r="G28" s="97" t="s">
        <v>36</v>
      </c>
      <c r="H28" s="138" t="s">
        <v>16</v>
      </c>
      <c r="I28" s="109" t="s">
        <v>48</v>
      </c>
      <c r="J28" s="110"/>
      <c r="K28" s="95" t="s">
        <v>38</v>
      </c>
      <c r="L28" s="96"/>
      <c r="M28" s="134" t="s">
        <v>72</v>
      </c>
      <c r="N28" s="135"/>
      <c r="O28" s="132" t="s">
        <v>74</v>
      </c>
    </row>
    <row r="29" spans="1:15" ht="26.25" customHeight="1" thickBot="1">
      <c r="A29" s="113"/>
      <c r="B29" s="114"/>
      <c r="C29" s="139"/>
      <c r="D29" s="137"/>
      <c r="E29" s="98"/>
      <c r="F29" s="98"/>
      <c r="G29" s="98"/>
      <c r="H29" s="139"/>
      <c r="I29" s="61" t="s">
        <v>49</v>
      </c>
      <c r="J29" s="62">
        <v>2012</v>
      </c>
      <c r="K29" s="61" t="s">
        <v>49</v>
      </c>
      <c r="L29" s="63">
        <f>J29</f>
        <v>2012</v>
      </c>
      <c r="M29" s="136"/>
      <c r="N29" s="137"/>
      <c r="O29" s="133"/>
    </row>
    <row r="30" spans="1:16" ht="12.75">
      <c r="A30" s="142" t="s">
        <v>54</v>
      </c>
      <c r="B30" s="143"/>
      <c r="C30" s="99"/>
      <c r="D30" s="99"/>
      <c r="E30" s="55"/>
      <c r="F30" s="55"/>
      <c r="G30" s="56"/>
      <c r="H30" s="57"/>
      <c r="I30" s="58"/>
      <c r="J30" s="59"/>
      <c r="K30" s="58"/>
      <c r="L30" s="59"/>
      <c r="M30" s="140"/>
      <c r="N30" s="141"/>
      <c r="O30" s="60">
        <v>3696</v>
      </c>
      <c r="P30" s="11"/>
    </row>
    <row r="31" spans="1:16" ht="15.75" customHeight="1">
      <c r="A31" s="107" t="s">
        <v>53</v>
      </c>
      <c r="B31" s="108"/>
      <c r="C31" s="92" t="s">
        <v>68</v>
      </c>
      <c r="D31" s="92"/>
      <c r="E31" s="9">
        <f>B21+(D21*B24)</f>
        <v>26.74418604651163</v>
      </c>
      <c r="F31" s="7" t="s">
        <v>0</v>
      </c>
      <c r="G31" s="34">
        <f>407+(19.3*E31*LN(E31))</f>
        <v>2103.274608376897</v>
      </c>
      <c r="H31" s="47">
        <f aca="true" t="shared" si="1" ref="H31:H38">G31*($L$12-1)</f>
        <v>1892.9471475392077</v>
      </c>
      <c r="I31" s="50">
        <f aca="true" t="shared" si="2" ref="I31:I40">SUM(G31:H31)</f>
        <v>3996.2217559161045</v>
      </c>
      <c r="J31" s="37">
        <f aca="true" t="shared" si="3" ref="J31:J40">I31*VLOOKUP($J$29,$A$58:$B$99,2,FALSE)</f>
        <v>4119.391563669833</v>
      </c>
      <c r="K31" s="51">
        <f aca="true" t="shared" si="4" ref="K31:K37">O31+((O31/G31)*H31)</f>
        <v>2084.3</v>
      </c>
      <c r="L31" s="38">
        <f aca="true" t="shared" si="5" ref="L31:L40">K31*VLOOKUP($J$29,$A$58:$B$99,2,FALSE)</f>
        <v>2148.541387485827</v>
      </c>
      <c r="M31" s="121"/>
      <c r="N31" s="122"/>
      <c r="O31" s="38">
        <v>1097</v>
      </c>
      <c r="P31" s="11"/>
    </row>
    <row r="32" spans="1:16" ht="14.25" customHeight="1">
      <c r="A32" s="107" t="s">
        <v>55</v>
      </c>
      <c r="B32" s="108"/>
      <c r="C32" s="92"/>
      <c r="D32" s="92"/>
      <c r="E32" s="9">
        <f>B22+(D22*B24)</f>
        <v>2.3255813953488373</v>
      </c>
      <c r="F32" s="7" t="s">
        <v>0</v>
      </c>
      <c r="G32" s="34">
        <f>335+(5.7*E32^2)</f>
        <v>365.8274743104381</v>
      </c>
      <c r="H32" s="47">
        <f t="shared" si="1"/>
        <v>329.24472687939436</v>
      </c>
      <c r="I32" s="50">
        <f t="shared" si="2"/>
        <v>695.0722011898324</v>
      </c>
      <c r="J32" s="37">
        <f t="shared" si="3"/>
        <v>716.4954140705418</v>
      </c>
      <c r="K32" s="51">
        <f t="shared" si="4"/>
        <v>226.10000000000002</v>
      </c>
      <c r="L32" s="38">
        <f t="shared" si="5"/>
        <v>233.06875579837137</v>
      </c>
      <c r="M32" s="121"/>
      <c r="N32" s="122"/>
      <c r="O32" s="38">
        <v>119</v>
      </c>
      <c r="P32" s="11"/>
    </row>
    <row r="33" spans="1:16" ht="12.75">
      <c r="A33" s="107" t="s">
        <v>56</v>
      </c>
      <c r="B33" s="108"/>
      <c r="C33" s="92" t="s">
        <v>68</v>
      </c>
      <c r="D33" s="92"/>
      <c r="E33" s="9">
        <f>B17+(D17*B24)</f>
        <v>6.976744186046512</v>
      </c>
      <c r="F33" s="7" t="s">
        <v>0</v>
      </c>
      <c r="G33" s="34">
        <f>1850+(11.7*E33^2)</f>
        <v>2419.4970254191453</v>
      </c>
      <c r="H33" s="47">
        <f t="shared" si="1"/>
        <v>2177.547322877231</v>
      </c>
      <c r="I33" s="50">
        <f t="shared" si="2"/>
        <v>4597.0443482963765</v>
      </c>
      <c r="J33" s="37">
        <f t="shared" si="3"/>
        <v>4738.732448506728</v>
      </c>
      <c r="K33" s="51">
        <f t="shared" si="4"/>
        <v>2114.7000000000003</v>
      </c>
      <c r="L33" s="38">
        <f t="shared" si="5"/>
        <v>2179.8783630553557</v>
      </c>
      <c r="M33" s="121"/>
      <c r="N33" s="122"/>
      <c r="O33" s="38">
        <v>1113</v>
      </c>
      <c r="P33" s="11"/>
    </row>
    <row r="34" spans="1:16" ht="12.75">
      <c r="A34" s="107" t="s">
        <v>57</v>
      </c>
      <c r="B34" s="108"/>
      <c r="C34" s="92" t="s">
        <v>68</v>
      </c>
      <c r="D34" s="92"/>
      <c r="E34" s="9">
        <f>B19+(D19*B24)</f>
        <v>20.930232558139537</v>
      </c>
      <c r="F34" s="7" t="s">
        <v>0</v>
      </c>
      <c r="G34" s="34">
        <f>-1261+(539*E34^0.72)</f>
        <v>3553.443384329894</v>
      </c>
      <c r="H34" s="47">
        <f t="shared" si="1"/>
        <v>3198.099045896905</v>
      </c>
      <c r="I34" s="50">
        <f t="shared" si="2"/>
        <v>6751.542430226798</v>
      </c>
      <c r="J34" s="37">
        <f t="shared" si="3"/>
        <v>6959.6355326531275</v>
      </c>
      <c r="K34" s="51">
        <f t="shared" si="4"/>
        <v>1729</v>
      </c>
      <c r="L34" s="38">
        <f t="shared" si="5"/>
        <v>1782.2904855169572</v>
      </c>
      <c r="M34" s="121"/>
      <c r="N34" s="122"/>
      <c r="O34" s="38">
        <v>910</v>
      </c>
      <c r="P34" s="11"/>
    </row>
    <row r="35" spans="1:15" ht="12.75">
      <c r="A35" s="107" t="s">
        <v>58</v>
      </c>
      <c r="B35" s="108"/>
      <c r="C35" s="92" t="s">
        <v>69</v>
      </c>
      <c r="D35" s="92"/>
      <c r="E35" s="9">
        <f>B25-B15-(D15*B24)</f>
        <v>69.76744186046511</v>
      </c>
      <c r="F35" s="7" t="s">
        <v>0</v>
      </c>
      <c r="G35" s="34">
        <f>89+(3*E35^1.261)</f>
        <v>722.8221823288793</v>
      </c>
      <c r="H35" s="47">
        <f t="shared" si="1"/>
        <v>650.5399640959914</v>
      </c>
      <c r="I35" s="50">
        <f t="shared" si="2"/>
        <v>1373.3621464248708</v>
      </c>
      <c r="J35" s="37">
        <f t="shared" si="3"/>
        <v>1415.6913167971045</v>
      </c>
      <c r="K35" s="51">
        <f t="shared" si="4"/>
        <v>589</v>
      </c>
      <c r="L35" s="38">
        <f t="shared" si="5"/>
        <v>607.1539016596228</v>
      </c>
      <c r="M35" s="121"/>
      <c r="N35" s="122"/>
      <c r="O35" s="38">
        <v>310</v>
      </c>
    </row>
    <row r="36" spans="1:16" ht="12.75">
      <c r="A36" s="107" t="s">
        <v>59</v>
      </c>
      <c r="B36" s="108"/>
      <c r="C36" s="92" t="s">
        <v>68</v>
      </c>
      <c r="D36" s="92"/>
      <c r="E36" s="9">
        <f>B23+(D23*B24)</f>
        <v>3.488372093023256</v>
      </c>
      <c r="F36" s="7" t="s">
        <v>0</v>
      </c>
      <c r="G36" s="34">
        <f>486+(55.5*E36^1.35)</f>
        <v>785.8014767967101</v>
      </c>
      <c r="H36" s="47">
        <f t="shared" si="1"/>
        <v>707.2213291170392</v>
      </c>
      <c r="I36" s="50">
        <f t="shared" si="2"/>
        <v>1493.0228059137494</v>
      </c>
      <c r="J36" s="37">
        <f t="shared" si="3"/>
        <v>1539.0401050548908</v>
      </c>
      <c r="K36" s="51">
        <f t="shared" si="4"/>
        <v>1195.1000000000001</v>
      </c>
      <c r="L36" s="38">
        <f t="shared" si="5"/>
        <v>1231.9348520771057</v>
      </c>
      <c r="M36" s="121"/>
      <c r="N36" s="122"/>
      <c r="O36" s="38">
        <v>629</v>
      </c>
      <c r="P36" s="11"/>
    </row>
    <row r="37" spans="1:15" ht="12.75">
      <c r="A37" s="107" t="s">
        <v>60</v>
      </c>
      <c r="B37" s="108"/>
      <c r="C37" s="92" t="s">
        <v>68</v>
      </c>
      <c r="D37" s="92"/>
      <c r="E37" s="9">
        <f>B18+(D18*B24)</f>
        <v>4.651162790697675</v>
      </c>
      <c r="F37" s="7" t="s">
        <v>0</v>
      </c>
      <c r="G37" s="34">
        <f>658+(75*E37^1.35)</f>
        <v>1255.405673180982</v>
      </c>
      <c r="H37" s="47">
        <f t="shared" si="1"/>
        <v>1129.8651058628839</v>
      </c>
      <c r="I37" s="50">
        <f t="shared" si="2"/>
        <v>2385.270779043866</v>
      </c>
      <c r="J37" s="37">
        <f t="shared" si="3"/>
        <v>2458.7885568950273</v>
      </c>
      <c r="K37" s="51">
        <f t="shared" si="4"/>
        <v>1622.6000000000001</v>
      </c>
      <c r="L37" s="38">
        <f t="shared" si="5"/>
        <v>1672.6110710236062</v>
      </c>
      <c r="M37" s="121"/>
      <c r="N37" s="122"/>
      <c r="O37" s="38">
        <v>854</v>
      </c>
    </row>
    <row r="38" spans="1:15" ht="12.75">
      <c r="A38" s="107" t="s">
        <v>61</v>
      </c>
      <c r="B38" s="108"/>
      <c r="C38" s="92" t="s">
        <v>69</v>
      </c>
      <c r="D38" s="92"/>
      <c r="E38" s="39">
        <f>E42</f>
        <v>11206.071824742945</v>
      </c>
      <c r="F38" s="7" t="s">
        <v>23</v>
      </c>
      <c r="G38" s="34">
        <f>0.139*E38</f>
        <v>1557.6439836392694</v>
      </c>
      <c r="H38" s="47">
        <f t="shared" si="1"/>
        <v>1401.8795852753426</v>
      </c>
      <c r="I38" s="50">
        <f t="shared" si="2"/>
        <v>2959.523568914612</v>
      </c>
      <c r="J38" s="37">
        <f t="shared" si="3"/>
        <v>3050.740716332968</v>
      </c>
      <c r="K38" s="50">
        <f>M38*G38+M38*H38</f>
        <v>887.8570706743835</v>
      </c>
      <c r="L38" s="38">
        <f t="shared" si="5"/>
        <v>915.2222148998903</v>
      </c>
      <c r="M38" s="144">
        <v>0.3</v>
      </c>
      <c r="N38" s="145"/>
      <c r="O38" s="4"/>
    </row>
    <row r="39" spans="1:15" ht="12.75">
      <c r="A39" s="107" t="s">
        <v>62</v>
      </c>
      <c r="B39" s="108"/>
      <c r="C39" s="92" t="s">
        <v>70</v>
      </c>
      <c r="D39" s="92"/>
      <c r="E39" s="40">
        <f>$E$12</f>
        <v>38100.114285714284</v>
      </c>
      <c r="F39" s="7" t="s">
        <v>24</v>
      </c>
      <c r="G39" s="34">
        <f>(E39*550)/1000</f>
        <v>20955.062857142853</v>
      </c>
      <c r="H39" s="47">
        <v>0</v>
      </c>
      <c r="I39" s="50">
        <f t="shared" si="2"/>
        <v>20955.062857142853</v>
      </c>
      <c r="J39" s="37">
        <f t="shared" si="3"/>
        <v>21600.930684612777</v>
      </c>
      <c r="K39" s="50">
        <f>M39*G39+M39*H39</f>
        <v>6286.518857142856</v>
      </c>
      <c r="L39" s="38">
        <f t="shared" si="5"/>
        <v>6480.279205383834</v>
      </c>
      <c r="M39" s="144">
        <v>0.3</v>
      </c>
      <c r="N39" s="145"/>
      <c r="O39" s="4"/>
    </row>
    <row r="40" spans="1:15" ht="12.75">
      <c r="A40" s="107" t="s">
        <v>17</v>
      </c>
      <c r="B40" s="108"/>
      <c r="C40" s="92"/>
      <c r="D40" s="92"/>
      <c r="E40" s="6"/>
      <c r="F40" s="7"/>
      <c r="G40" s="36">
        <f>SUM(G31:G39)</f>
        <v>33718.77866552507</v>
      </c>
      <c r="H40" s="46">
        <f>SUM(H31:H39)</f>
        <v>11487.344227543996</v>
      </c>
      <c r="I40" s="51">
        <f t="shared" si="2"/>
        <v>45206.12289306906</v>
      </c>
      <c r="J40" s="37">
        <f t="shared" si="3"/>
        <v>46599.446338593</v>
      </c>
      <c r="K40" s="51">
        <f>SQRT(K31^2+K32^2+K34^2+K36^2+K33^2+K35^2+K37^2+K38^2+K39^2)</f>
        <v>7521.53242891096</v>
      </c>
      <c r="L40" s="38">
        <f t="shared" si="5"/>
        <v>7753.35782796718</v>
      </c>
      <c r="M40" s="121"/>
      <c r="N40" s="122"/>
      <c r="O40" s="14"/>
    </row>
    <row r="41" spans="1:15" ht="12.75">
      <c r="A41" s="146" t="s">
        <v>63</v>
      </c>
      <c r="B41" s="147"/>
      <c r="C41" s="92"/>
      <c r="D41" s="92"/>
      <c r="E41" s="6"/>
      <c r="F41" s="6"/>
      <c r="G41" s="34"/>
      <c r="H41" s="47"/>
      <c r="I41" s="50"/>
      <c r="J41" s="37"/>
      <c r="K41" s="50"/>
      <c r="L41" s="38"/>
      <c r="M41" s="121"/>
      <c r="N41" s="122"/>
      <c r="O41" s="4"/>
    </row>
    <row r="42" spans="1:16" ht="12.75">
      <c r="A42" s="107" t="s">
        <v>64</v>
      </c>
      <c r="B42" s="108"/>
      <c r="C42" s="92" t="s">
        <v>17</v>
      </c>
      <c r="D42" s="92"/>
      <c r="E42" s="39">
        <f>SUM(G31:G37)</f>
        <v>11206.071824742945</v>
      </c>
      <c r="F42" s="7" t="s">
        <v>23</v>
      </c>
      <c r="G42" s="34">
        <f>0.4*E42</f>
        <v>4482.4287298971785</v>
      </c>
      <c r="H42" s="47">
        <f>G42*($L$12-1)</f>
        <v>4034.185856907461</v>
      </c>
      <c r="I42" s="50">
        <f aca="true" t="shared" si="6" ref="I42:I49">SUM(G42:H42)</f>
        <v>8516.61458680464</v>
      </c>
      <c r="J42" s="37">
        <f aca="true" t="shared" si="7" ref="J42:J50">I42*VLOOKUP($J$29,$A$58:$B$99,2,FALSE)</f>
        <v>8779.109975058904</v>
      </c>
      <c r="K42" s="50">
        <f>M42*G42+M42*H42</f>
        <v>2554.984376041392</v>
      </c>
      <c r="L42" s="38">
        <f>K42*VLOOKUP($J$29,$A$58:$B$99,2,FALSE)</f>
        <v>2633.7329925176705</v>
      </c>
      <c r="M42" s="144">
        <v>0.3</v>
      </c>
      <c r="N42" s="145"/>
      <c r="O42" s="4"/>
      <c r="P42" s="11"/>
    </row>
    <row r="43" spans="1:15" ht="12.75">
      <c r="A43" s="146" t="s">
        <v>65</v>
      </c>
      <c r="B43" s="147"/>
      <c r="C43" s="92" t="s">
        <v>39</v>
      </c>
      <c r="D43" s="92"/>
      <c r="E43" s="36">
        <v>50000</v>
      </c>
      <c r="F43" s="8" t="s">
        <v>23</v>
      </c>
      <c r="G43" s="35">
        <v>25000</v>
      </c>
      <c r="H43" s="48">
        <v>25000</v>
      </c>
      <c r="I43" s="50">
        <f t="shared" si="6"/>
        <v>50000</v>
      </c>
      <c r="J43" s="37">
        <f t="shared" si="7"/>
        <v>51541.07823935677</v>
      </c>
      <c r="K43" s="50">
        <f>M43*I43</f>
        <v>5000</v>
      </c>
      <c r="L43" s="38">
        <f>K43*VLOOKUP($J$29,$A$58:$B$99,2,FALSE)</f>
        <v>5154.1078239356775</v>
      </c>
      <c r="M43" s="144">
        <v>0.1</v>
      </c>
      <c r="N43" s="145"/>
      <c r="O43" s="4"/>
    </row>
    <row r="44" spans="1:15" ht="12.75">
      <c r="A44" s="146" t="s">
        <v>18</v>
      </c>
      <c r="B44" s="147"/>
      <c r="C44" s="92" t="s">
        <v>17</v>
      </c>
      <c r="D44" s="92"/>
      <c r="E44" s="39">
        <f>E42</f>
        <v>11206.071824742945</v>
      </c>
      <c r="F44" s="7" t="s">
        <v>23</v>
      </c>
      <c r="G44" s="34">
        <f>0.229*E44</f>
        <v>2566.1904478661345</v>
      </c>
      <c r="H44" s="47">
        <f>G44*($L$12-1)</f>
        <v>2309.5714030795216</v>
      </c>
      <c r="I44" s="50">
        <f t="shared" si="6"/>
        <v>4875.761850945656</v>
      </c>
      <c r="J44" s="37">
        <f t="shared" si="7"/>
        <v>5026.040460721221</v>
      </c>
      <c r="K44" s="50">
        <f>M44*G44+M44*H44</f>
        <v>1462.7285552836968</v>
      </c>
      <c r="L44" s="38">
        <f>K44*VLOOKUP($J$29,$A$58:$B$99,2,FALSE)</f>
        <v>1507.8121382163663</v>
      </c>
      <c r="M44" s="144">
        <v>0.3</v>
      </c>
      <c r="N44" s="145"/>
      <c r="O44" s="4"/>
    </row>
    <row r="45" spans="1:15" ht="12.75">
      <c r="A45" s="146" t="s">
        <v>66</v>
      </c>
      <c r="B45" s="147"/>
      <c r="C45" s="92" t="s">
        <v>17</v>
      </c>
      <c r="D45" s="92"/>
      <c r="E45" s="39">
        <f>E42</f>
        <v>11206.071824742945</v>
      </c>
      <c r="F45" s="7" t="s">
        <v>23</v>
      </c>
      <c r="G45" s="34">
        <f>0.061*E45</f>
        <v>683.5703813093196</v>
      </c>
      <c r="H45" s="47">
        <f>G45*($L$12-1)</f>
        <v>615.2133431783877</v>
      </c>
      <c r="I45" s="50">
        <f t="shared" si="6"/>
        <v>1298.7837244877073</v>
      </c>
      <c r="J45" s="37">
        <f t="shared" si="7"/>
        <v>1338.8142711964824</v>
      </c>
      <c r="K45" s="50">
        <f>M45*G45+M45*H45</f>
        <v>389.6351173463122</v>
      </c>
      <c r="L45" s="38">
        <f>K45*VLOOKUP($J$29,$A$58:$B$99,2,FALSE)</f>
        <v>401.6442813589447</v>
      </c>
      <c r="M45" s="144">
        <v>0.3</v>
      </c>
      <c r="N45" s="145"/>
      <c r="O45" s="4"/>
    </row>
    <row r="46" spans="1:15" ht="12.75">
      <c r="A46" s="146" t="s">
        <v>67</v>
      </c>
      <c r="B46" s="147"/>
      <c r="C46" s="92" t="s">
        <v>17</v>
      </c>
      <c r="D46" s="92"/>
      <c r="E46" s="39">
        <f>E42</f>
        <v>11206.071824742945</v>
      </c>
      <c r="F46" s="7" t="s">
        <v>23</v>
      </c>
      <c r="G46" s="34">
        <f>0.066*E46</f>
        <v>739.6007404330344</v>
      </c>
      <c r="H46" s="47">
        <f>G46*($L$12-1)</f>
        <v>665.640666389731</v>
      </c>
      <c r="I46" s="50">
        <f t="shared" si="6"/>
        <v>1405.2414068227654</v>
      </c>
      <c r="J46" s="37">
        <f t="shared" si="7"/>
        <v>1448.5531458847186</v>
      </c>
      <c r="K46" s="50">
        <f>M46*G46+M46*H46</f>
        <v>421.5724220468296</v>
      </c>
      <c r="L46" s="38">
        <f>K46*VLOOKUP($J$29,$A$58:$B$99,2,FALSE)</f>
        <v>434.5659437654156</v>
      </c>
      <c r="M46" s="144">
        <v>0.3</v>
      </c>
      <c r="N46" s="145"/>
      <c r="O46" s="4"/>
    </row>
    <row r="47" spans="1:15" ht="12.75">
      <c r="A47" s="146" t="s">
        <v>19</v>
      </c>
      <c r="B47" s="147"/>
      <c r="C47" s="92"/>
      <c r="D47" s="92"/>
      <c r="E47" s="6"/>
      <c r="F47" s="7"/>
      <c r="G47" s="34">
        <f>G42+G40+G44+G46</f>
        <v>41506.99858372141</v>
      </c>
      <c r="H47" s="47">
        <f>H42+H40+H44+H46</f>
        <v>18496.74215392071</v>
      </c>
      <c r="I47" s="50">
        <f t="shared" si="6"/>
        <v>60003.74073764212</v>
      </c>
      <c r="J47" s="37">
        <f t="shared" si="7"/>
        <v>61853.149920257834</v>
      </c>
      <c r="K47" s="54"/>
      <c r="L47" s="38"/>
      <c r="M47" s="121" t="s">
        <v>37</v>
      </c>
      <c r="N47" s="122"/>
      <c r="O47" s="4"/>
    </row>
    <row r="48" spans="1:15" ht="12.75">
      <c r="A48" s="146" t="s">
        <v>20</v>
      </c>
      <c r="B48" s="147"/>
      <c r="C48" s="92"/>
      <c r="D48" s="92"/>
      <c r="E48" s="6"/>
      <c r="F48" s="7"/>
      <c r="G48" s="34">
        <f>0.1*G47</f>
        <v>4150.6998583721415</v>
      </c>
      <c r="H48" s="47">
        <f>0.1*H47</f>
        <v>1849.6742153920711</v>
      </c>
      <c r="I48" s="50">
        <f t="shared" si="6"/>
        <v>6000.374073764213</v>
      </c>
      <c r="J48" s="37">
        <f t="shared" si="7"/>
        <v>6185.314992025785</v>
      </c>
      <c r="K48" s="54"/>
      <c r="L48" s="38"/>
      <c r="M48" s="121"/>
      <c r="N48" s="122"/>
      <c r="O48" s="4"/>
    </row>
    <row r="49" spans="1:15" ht="13.5" thickBot="1">
      <c r="A49" s="154" t="s">
        <v>21</v>
      </c>
      <c r="B49" s="155"/>
      <c r="C49" s="156"/>
      <c r="D49" s="156"/>
      <c r="E49" s="42"/>
      <c r="F49" s="41"/>
      <c r="G49" s="43">
        <f>G47+G48</f>
        <v>45657.698442093555</v>
      </c>
      <c r="H49" s="49">
        <f>H47+H48</f>
        <v>20346.41636931278</v>
      </c>
      <c r="I49" s="52">
        <f t="shared" si="6"/>
        <v>66004.11481140634</v>
      </c>
      <c r="J49" s="53">
        <f t="shared" si="7"/>
        <v>68038.46491228363</v>
      </c>
      <c r="K49" s="73"/>
      <c r="L49" s="74"/>
      <c r="M49" s="100"/>
      <c r="N49" s="101"/>
      <c r="O49" s="75"/>
    </row>
    <row r="50" spans="1:15" ht="15" customHeight="1" thickBot="1">
      <c r="A50" s="152" t="s">
        <v>22</v>
      </c>
      <c r="B50" s="153"/>
      <c r="C50" s="150"/>
      <c r="D50" s="151"/>
      <c r="E50" s="151"/>
      <c r="F50" s="151"/>
      <c r="G50" s="151"/>
      <c r="H50" s="151"/>
      <c r="I50" s="78">
        <f>I49+I43</f>
        <v>116004.11481140634</v>
      </c>
      <c r="J50" s="79">
        <f t="shared" si="7"/>
        <v>119579.5431516404</v>
      </c>
      <c r="K50" s="76">
        <f>SQRT(K42^2+K40^2+K44^2+K46^2+K45^2+K43^2)</f>
        <v>9516.853939150114</v>
      </c>
      <c r="L50" s="77">
        <f>K50*VLOOKUP($J$29,$A$58:$B$99,2,FALSE)</f>
        <v>9810.178269405335</v>
      </c>
      <c r="M50" s="148"/>
      <c r="N50" s="148"/>
      <c r="O50" s="149"/>
    </row>
    <row r="51" ht="12.75">
      <c r="A51" s="3" t="s">
        <v>71</v>
      </c>
    </row>
    <row r="52" ht="12.75">
      <c r="A52" s="3" t="s">
        <v>73</v>
      </c>
    </row>
    <row r="53" ht="12.75">
      <c r="A53" s="3" t="s">
        <v>78</v>
      </c>
    </row>
    <row r="55" ht="13.5" thickBot="1"/>
    <row r="56" spans="1:2" ht="12.75">
      <c r="A56" s="83" t="s">
        <v>50</v>
      </c>
      <c r="B56" s="84"/>
    </row>
    <row r="57" spans="1:2" ht="13.5" thickBot="1">
      <c r="A57" s="15" t="s">
        <v>51</v>
      </c>
      <c r="B57" s="16" t="s">
        <v>76</v>
      </c>
    </row>
    <row r="58" spans="1:2" ht="15">
      <c r="A58" s="17">
        <v>1995</v>
      </c>
      <c r="B58" s="18">
        <v>0.6605504587155964</v>
      </c>
    </row>
    <row r="59" spans="1:2" ht="15">
      <c r="A59" s="19">
        <v>1996</v>
      </c>
      <c r="B59" s="20">
        <v>0.6760127821874035</v>
      </c>
    </row>
    <row r="60" spans="1:2" ht="15">
      <c r="A60" s="19">
        <v>1997</v>
      </c>
      <c r="B60" s="20">
        <v>0.6930213380063911</v>
      </c>
    </row>
    <row r="61" spans="1:2" ht="15">
      <c r="A61" s="19">
        <v>1998</v>
      </c>
      <c r="B61" s="20">
        <v>0.7126069477373467</v>
      </c>
    </row>
    <row r="62" spans="1:2" ht="15">
      <c r="A62" s="19">
        <v>1999</v>
      </c>
      <c r="B62" s="20">
        <v>0.7320894753118236</v>
      </c>
    </row>
    <row r="63" spans="1:2" ht="15">
      <c r="A63" s="19">
        <v>2000</v>
      </c>
      <c r="B63" s="20">
        <v>0.7509535099474282</v>
      </c>
    </row>
    <row r="64" spans="1:2" ht="15">
      <c r="A64" s="19">
        <v>2001</v>
      </c>
      <c r="B64" s="20">
        <v>0.774765488094011</v>
      </c>
    </row>
    <row r="65" spans="1:2" ht="15">
      <c r="A65" s="19">
        <v>2002</v>
      </c>
      <c r="B65" s="20">
        <v>0.7954850015462325</v>
      </c>
    </row>
    <row r="66" spans="1:2" ht="15">
      <c r="A66" s="19">
        <v>2003</v>
      </c>
      <c r="B66" s="20">
        <v>0.8224925265436553</v>
      </c>
    </row>
    <row r="67" spans="1:2" ht="15">
      <c r="A67" s="19">
        <v>2004</v>
      </c>
      <c r="B67" s="20">
        <v>0.8493969693845995</v>
      </c>
    </row>
    <row r="68" spans="1:2" ht="15">
      <c r="A68" s="19">
        <v>2005</v>
      </c>
      <c r="B68" s="20">
        <v>0.8847541490567983</v>
      </c>
    </row>
    <row r="69" spans="1:2" ht="15">
      <c r="A69" s="19">
        <v>2006</v>
      </c>
      <c r="B69" s="20">
        <v>0.914029481496753</v>
      </c>
    </row>
    <row r="70" spans="1:2" ht="15">
      <c r="A70" s="19">
        <v>2007</v>
      </c>
      <c r="B70" s="20">
        <v>0.9388722812081229</v>
      </c>
    </row>
    <row r="71" spans="1:2" ht="15">
      <c r="A71" s="19">
        <v>2008</v>
      </c>
      <c r="B71" s="20">
        <v>0.9663952169879394</v>
      </c>
    </row>
    <row r="72" spans="1:2" ht="15">
      <c r="A72" s="19">
        <v>2009</v>
      </c>
      <c r="B72" s="20">
        <v>0.9793835687042572</v>
      </c>
    </row>
    <row r="73" spans="1:2" ht="15">
      <c r="A73" s="19">
        <v>2010</v>
      </c>
      <c r="B73" s="20">
        <v>1</v>
      </c>
    </row>
    <row r="74" spans="1:2" ht="15">
      <c r="A74" s="19">
        <v>2011</v>
      </c>
      <c r="B74" s="20">
        <v>1.0153592413153283</v>
      </c>
    </row>
    <row r="75" spans="1:2" ht="15">
      <c r="A75" s="19">
        <v>2012</v>
      </c>
      <c r="B75" s="20">
        <v>1.0308215647871355</v>
      </c>
    </row>
    <row r="76" spans="1:2" ht="15">
      <c r="A76" s="19">
        <v>2013</v>
      </c>
      <c r="B76" s="20">
        <v>1.0515410782393568</v>
      </c>
    </row>
    <row r="77" spans="1:2" ht="15">
      <c r="A77" s="19">
        <v>2014</v>
      </c>
      <c r="B77" s="20">
        <v>1.073394495412844</v>
      </c>
    </row>
    <row r="78" spans="1:2" ht="15">
      <c r="A78" s="19">
        <v>2015</v>
      </c>
      <c r="B78" s="20">
        <v>1.095763323368725</v>
      </c>
    </row>
    <row r="79" spans="1:2" ht="15">
      <c r="A79" s="19">
        <v>2016</v>
      </c>
      <c r="B79" s="20">
        <v>1.119162972889393</v>
      </c>
    </row>
    <row r="80" spans="1:2" ht="15">
      <c r="A80" s="19">
        <v>2017</v>
      </c>
      <c r="B80" s="20">
        <v>1.1430780331924544</v>
      </c>
    </row>
    <row r="81" spans="1:2" ht="15">
      <c r="A81" s="19">
        <v>2018</v>
      </c>
      <c r="B81" s="20">
        <v>1.1675085042779096</v>
      </c>
    </row>
    <row r="82" spans="1:2" ht="15">
      <c r="A82" s="19">
        <v>2019</v>
      </c>
      <c r="B82" s="20">
        <v>1.1924543861457582</v>
      </c>
    </row>
    <row r="83" spans="1:2" ht="15">
      <c r="A83" s="19">
        <v>2020</v>
      </c>
      <c r="B83" s="20">
        <v>1.2179156787960004</v>
      </c>
    </row>
    <row r="84" spans="1:2" ht="15">
      <c r="A84" s="19">
        <v>2021</v>
      </c>
      <c r="B84" s="20">
        <v>1.2438923822286363</v>
      </c>
    </row>
    <row r="85" spans="1:2" ht="15">
      <c r="A85" s="19">
        <v>2022</v>
      </c>
      <c r="B85" s="20">
        <v>1.2703844964436657</v>
      </c>
    </row>
    <row r="86" spans="1:2" ht="15">
      <c r="A86" s="19">
        <v>2023</v>
      </c>
      <c r="B86" s="20">
        <v>1.297598185754046</v>
      </c>
    </row>
    <row r="87" spans="1:2" ht="15">
      <c r="A87" s="19">
        <v>2024</v>
      </c>
      <c r="B87" s="20">
        <v>1.3252242036903414</v>
      </c>
    </row>
    <row r="88" spans="1:2" ht="15">
      <c r="A88" s="19">
        <v>2025</v>
      </c>
      <c r="B88" s="20">
        <v>1.3535717967219874</v>
      </c>
    </row>
    <row r="89" spans="1:2" ht="15">
      <c r="A89" s="19">
        <v>2026</v>
      </c>
      <c r="B89" s="20">
        <v>1.3824348005360272</v>
      </c>
    </row>
    <row r="90" spans="1:2" ht="15">
      <c r="A90" s="19">
        <v>2027</v>
      </c>
      <c r="B90" s="20">
        <v>1.4120193794454179</v>
      </c>
    </row>
    <row r="91" spans="1:2" ht="15">
      <c r="A91" s="19">
        <v>2028</v>
      </c>
      <c r="B91" s="20">
        <v>1.4421193691372025</v>
      </c>
    </row>
    <row r="92" spans="1:2" ht="15">
      <c r="A92" s="19">
        <v>2029</v>
      </c>
      <c r="B92" s="20">
        <v>1.4729409339243378</v>
      </c>
    </row>
    <row r="93" spans="1:2" ht="15">
      <c r="A93" s="19">
        <v>2030</v>
      </c>
      <c r="B93" s="20">
        <v>1.5043809916503454</v>
      </c>
    </row>
    <row r="94" spans="1:2" ht="15">
      <c r="A94" s="19">
        <v>2031</v>
      </c>
      <c r="B94" s="20">
        <v>1.536542624471704</v>
      </c>
    </row>
    <row r="95" spans="1:2" ht="15">
      <c r="A95" s="19">
        <v>2032</v>
      </c>
      <c r="B95" s="20">
        <v>1.569322750231935</v>
      </c>
    </row>
    <row r="96" spans="1:2" ht="15">
      <c r="A96" s="19">
        <v>2033</v>
      </c>
      <c r="B96" s="20">
        <v>1.6028244510875167</v>
      </c>
    </row>
    <row r="97" spans="1:2" ht="15">
      <c r="A97" s="19">
        <v>2034</v>
      </c>
      <c r="B97" s="20">
        <v>1.6370477270384498</v>
      </c>
    </row>
    <row r="98" spans="1:2" ht="15">
      <c r="A98" s="19">
        <v>2035</v>
      </c>
      <c r="B98" s="20">
        <v>1.6709617565199464</v>
      </c>
    </row>
    <row r="99" spans="1:2" ht="15.75" thickBot="1">
      <c r="A99" s="21">
        <v>2036</v>
      </c>
      <c r="B99" s="22">
        <v>1.7077620863828473</v>
      </c>
    </row>
    <row r="100" spans="1:2" ht="12.75" customHeight="1">
      <c r="A100" s="102" t="s">
        <v>77</v>
      </c>
      <c r="B100" s="102"/>
    </row>
    <row r="101" spans="1:2" ht="12.75">
      <c r="A101" s="103"/>
      <c r="B101" s="103"/>
    </row>
    <row r="102" spans="1:2" ht="12.75">
      <c r="A102" s="103"/>
      <c r="B102" s="103"/>
    </row>
  </sheetData>
  <sheetProtection/>
  <mergeCells count="89">
    <mergeCell ref="C46:D46"/>
    <mergeCell ref="A50:B50"/>
    <mergeCell ref="A47:B47"/>
    <mergeCell ref="A49:B49"/>
    <mergeCell ref="C49:D49"/>
    <mergeCell ref="C47:D47"/>
    <mergeCell ref="M50:O50"/>
    <mergeCell ref="A48:B48"/>
    <mergeCell ref="M45:N45"/>
    <mergeCell ref="A46:B46"/>
    <mergeCell ref="A45:B45"/>
    <mergeCell ref="M47:N47"/>
    <mergeCell ref="M48:N48"/>
    <mergeCell ref="M46:N46"/>
    <mergeCell ref="C50:H50"/>
    <mergeCell ref="C48:D48"/>
    <mergeCell ref="M39:N39"/>
    <mergeCell ref="C44:D44"/>
    <mergeCell ref="C37:D37"/>
    <mergeCell ref="A42:B42"/>
    <mergeCell ref="A37:B37"/>
    <mergeCell ref="A43:B43"/>
    <mergeCell ref="A44:B44"/>
    <mergeCell ref="C39:D39"/>
    <mergeCell ref="C42:D42"/>
    <mergeCell ref="C38:D38"/>
    <mergeCell ref="M44:N44"/>
    <mergeCell ref="M40:N40"/>
    <mergeCell ref="M41:N41"/>
    <mergeCell ref="C40:D40"/>
    <mergeCell ref="M43:N43"/>
    <mergeCell ref="M42:N42"/>
    <mergeCell ref="C41:D41"/>
    <mergeCell ref="C45:D45"/>
    <mergeCell ref="A40:B40"/>
    <mergeCell ref="A39:B39"/>
    <mergeCell ref="A41:B41"/>
    <mergeCell ref="M38:N38"/>
    <mergeCell ref="C32:D32"/>
    <mergeCell ref="A33:B33"/>
    <mergeCell ref="A35:B35"/>
    <mergeCell ref="C34:D34"/>
    <mergeCell ref="A34:B34"/>
    <mergeCell ref="M32:N32"/>
    <mergeCell ref="M30:N30"/>
    <mergeCell ref="A30:B30"/>
    <mergeCell ref="C31:D31"/>
    <mergeCell ref="O28:O29"/>
    <mergeCell ref="M28:N29"/>
    <mergeCell ref="M31:N31"/>
    <mergeCell ref="C28:D29"/>
    <mergeCell ref="E28:E29"/>
    <mergeCell ref="F28:F29"/>
    <mergeCell ref="H28:H29"/>
    <mergeCell ref="C36:D36"/>
    <mergeCell ref="A38:B38"/>
    <mergeCell ref="C35:D35"/>
    <mergeCell ref="A36:B36"/>
    <mergeCell ref="A27:O27"/>
    <mergeCell ref="H9:K9"/>
    <mergeCell ref="D9:D11"/>
    <mergeCell ref="A9:A11"/>
    <mergeCell ref="B9:B11"/>
    <mergeCell ref="C9:C11"/>
    <mergeCell ref="M37:N37"/>
    <mergeCell ref="M33:N33"/>
    <mergeCell ref="M34:N34"/>
    <mergeCell ref="M35:N35"/>
    <mergeCell ref="M36:N36"/>
    <mergeCell ref="M49:N49"/>
    <mergeCell ref="C43:D43"/>
    <mergeCell ref="A100:B102"/>
    <mergeCell ref="H8:L8"/>
    <mergeCell ref="A31:B31"/>
    <mergeCell ref="A32:B32"/>
    <mergeCell ref="I28:J28"/>
    <mergeCell ref="A28:B29"/>
    <mergeCell ref="E9:F11"/>
    <mergeCell ref="E12:F12"/>
    <mergeCell ref="A6:B6"/>
    <mergeCell ref="A8:F8"/>
    <mergeCell ref="H12:K12"/>
    <mergeCell ref="A56:B56"/>
    <mergeCell ref="C33:D33"/>
    <mergeCell ref="H10:K10"/>
    <mergeCell ref="H11:K11"/>
    <mergeCell ref="K28:L28"/>
    <mergeCell ref="G28:G29"/>
    <mergeCell ref="C30:D30"/>
  </mergeCells>
  <dataValidations count="1">
    <dataValidation type="list" allowBlank="1" showInputMessage="1" showErrorMessage="1" sqref="J29">
      <formula1>$A$58:$A$99</formula1>
    </dataValidation>
  </dataValidations>
  <printOptions/>
  <pageMargins left="0.5" right="0.5" top="0.5" bottom="0.5" header="0" footer="0"/>
  <pageSetup horizontalDpi="600" verticalDpi="600" orientation="landscape" paperSize="119" scale="73" r:id="rId1"/>
  <ignoredErrors>
    <ignoredError sqref="B16" formulaRange="1"/>
    <ignoredError sqref="K43 K44:K50 K31:K42 L31:L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johnnydubhead</dc:creator>
  <cp:keywords/>
  <dc:description/>
  <cp:lastModifiedBy>Chrism</cp:lastModifiedBy>
  <cp:lastPrinted>2011-08-10T00:14:52Z</cp:lastPrinted>
  <dcterms:created xsi:type="dcterms:W3CDTF">2010-12-01T01:17:01Z</dcterms:created>
  <dcterms:modified xsi:type="dcterms:W3CDTF">2011-08-10T00:15:02Z</dcterms:modified>
  <cp:category/>
  <cp:version/>
  <cp:contentType/>
  <cp:contentStatus/>
</cp:coreProperties>
</file>